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<sst xmlns="http://schemas.openxmlformats.org/spreadsheetml/2006/main" count="1159" uniqueCount="198">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</sst>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23.41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9">
      <selection activeCell="F22" sqref="F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567375.2000000001</v>
      </c>
      <c r="G8" s="191">
        <f aca="true" t="shared" si="0" ref="G8:G37">F8-E8</f>
        <v>-49152.77999999991</v>
      </c>
      <c r="H8" s="192">
        <f>F8/E8*100</f>
        <v>92.02748592205013</v>
      </c>
      <c r="I8" s="193">
        <f>F8-D8</f>
        <v>-366696.25</v>
      </c>
      <c r="J8" s="193">
        <f>F8/D8*100</f>
        <v>60.74216271142856</v>
      </c>
      <c r="K8" s="191">
        <f>429512.12</f>
        <v>429512.12</v>
      </c>
      <c r="L8" s="191">
        <f aca="true" t="shared" si="1" ref="L8:L51">F8-K8</f>
        <v>137863.08000000007</v>
      </c>
      <c r="M8" s="250">
        <f aca="true" t="shared" si="2" ref="M8:M28">F8/K8</f>
        <v>1.3209759948101116</v>
      </c>
      <c r="N8" s="191">
        <f>N9+N15+N18+N19+N20+N17</f>
        <v>117576.69999999995</v>
      </c>
      <c r="O8" s="191">
        <f>O9+O15+O18+O19+O20+O17</f>
        <v>23568.24000000002</v>
      </c>
      <c r="P8" s="191">
        <f>O8-N8</f>
        <v>-94008.45999999993</v>
      </c>
      <c r="Q8" s="191">
        <f>O8/N8*100</f>
        <v>20.04499190741025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310163.4</v>
      </c>
      <c r="G9" s="190">
        <f t="shared" si="0"/>
        <v>-18330.26999999996</v>
      </c>
      <c r="H9" s="197">
        <f>F9/E9*100</f>
        <v>94.41990160723647</v>
      </c>
      <c r="I9" s="198">
        <f>F9-D9</f>
        <v>-220425.59999999998</v>
      </c>
      <c r="J9" s="198">
        <f>F9/D9*100</f>
        <v>58.456432379864644</v>
      </c>
      <c r="K9" s="199">
        <v>233711.01</v>
      </c>
      <c r="L9" s="199">
        <f t="shared" si="1"/>
        <v>76452.39000000001</v>
      </c>
      <c r="M9" s="251">
        <f t="shared" si="2"/>
        <v>1.327123613046728</v>
      </c>
      <c r="N9" s="197">
        <f>E9-липень!E9</f>
        <v>65234.399999999965</v>
      </c>
      <c r="O9" s="200">
        <f>F9-липень!F9</f>
        <v>14753.690000000002</v>
      </c>
      <c r="P9" s="201">
        <f>O9-N9</f>
        <v>-50480.70999999996</v>
      </c>
      <c r="Q9" s="198">
        <f>O9/N9*100</f>
        <v>22.616426302686943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54488.2</v>
      </c>
      <c r="G19" s="190">
        <f t="shared" si="0"/>
        <v>-14772.199999999997</v>
      </c>
      <c r="H19" s="197">
        <f t="shared" si="3"/>
        <v>78.67150637305012</v>
      </c>
      <c r="I19" s="198">
        <f t="shared" si="4"/>
        <v>-55411.8</v>
      </c>
      <c r="J19" s="198">
        <f t="shared" si="5"/>
        <v>49.579799818016376</v>
      </c>
      <c r="K19" s="209">
        <v>43877.66</v>
      </c>
      <c r="L19" s="201">
        <f t="shared" si="1"/>
        <v>10610.539999999994</v>
      </c>
      <c r="M19" s="259">
        <f t="shared" si="2"/>
        <v>1.2418210086864248</v>
      </c>
      <c r="N19" s="197">
        <f>E19-липень!E19</f>
        <v>10499.999999999993</v>
      </c>
      <c r="O19" s="200">
        <f>F19-липень!F19</f>
        <v>197</v>
      </c>
      <c r="P19" s="201">
        <f t="shared" si="6"/>
        <v>-10302.999999999993</v>
      </c>
      <c r="Q19" s="198">
        <f aca="true" t="shared" si="9" ref="Q19:Q24">O19/N19*100</f>
        <v>1.8761904761904775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202297.95</v>
      </c>
      <c r="G20" s="190">
        <f t="shared" si="0"/>
        <v>-16005.159999999974</v>
      </c>
      <c r="H20" s="197">
        <f t="shared" si="3"/>
        <v>92.66837746837415</v>
      </c>
      <c r="I20" s="198">
        <f t="shared" si="4"/>
        <v>-90678.70000000001</v>
      </c>
      <c r="J20" s="198">
        <f t="shared" si="5"/>
        <v>69.04917166606963</v>
      </c>
      <c r="K20" s="198">
        <v>147068.17</v>
      </c>
      <c r="L20" s="201">
        <f t="shared" si="1"/>
        <v>55229.78</v>
      </c>
      <c r="M20" s="254">
        <f t="shared" si="2"/>
        <v>1.3755386362664335</v>
      </c>
      <c r="N20" s="197">
        <f>N21+N30+N31+N32</f>
        <v>41631.5</v>
      </c>
      <c r="O20" s="200">
        <f>F20-липень!F20</f>
        <v>8607.110000000015</v>
      </c>
      <c r="P20" s="201">
        <f t="shared" si="6"/>
        <v>-33024.389999999985</v>
      </c>
      <c r="Q20" s="198">
        <f t="shared" si="9"/>
        <v>20.674513289216133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107715.8</v>
      </c>
      <c r="G21" s="190">
        <f t="shared" si="0"/>
        <v>-11723.159999999989</v>
      </c>
      <c r="H21" s="197">
        <f t="shared" si="3"/>
        <v>90.18481071837867</v>
      </c>
      <c r="I21" s="198">
        <f t="shared" si="4"/>
        <v>-67183.84999999999</v>
      </c>
      <c r="J21" s="198">
        <f t="shared" si="5"/>
        <v>61.58720157530333</v>
      </c>
      <c r="K21" s="198">
        <v>79798.88</v>
      </c>
      <c r="L21" s="201">
        <f t="shared" si="1"/>
        <v>27916.92</v>
      </c>
      <c r="M21" s="254">
        <f t="shared" si="2"/>
        <v>1.3498410002746906</v>
      </c>
      <c r="N21" s="197">
        <f>N22+N25+N26</f>
        <v>22950.3</v>
      </c>
      <c r="O21" s="200">
        <f>F21-червень!F21</f>
        <v>21721.410000000003</v>
      </c>
      <c r="P21" s="201">
        <f t="shared" si="6"/>
        <v>-1228.8899999999958</v>
      </c>
      <c r="Q21" s="198">
        <f t="shared" si="9"/>
        <v>94.64542947151018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14098.1</v>
      </c>
      <c r="G22" s="212">
        <f t="shared" si="0"/>
        <v>-478.7999999999993</v>
      </c>
      <c r="H22" s="214">
        <f t="shared" si="3"/>
        <v>96.71535100055569</v>
      </c>
      <c r="I22" s="215">
        <f t="shared" si="4"/>
        <v>-4401.9</v>
      </c>
      <c r="J22" s="215">
        <f t="shared" si="5"/>
        <v>76.20594594594596</v>
      </c>
      <c r="K22" s="216">
        <v>8673.74</v>
      </c>
      <c r="L22" s="206">
        <f t="shared" si="1"/>
        <v>5424.360000000001</v>
      </c>
      <c r="M22" s="262">
        <f t="shared" si="2"/>
        <v>1.6253772882286073</v>
      </c>
      <c r="N22" s="214">
        <f>E22-липень!E22</f>
        <v>1985.2999999999993</v>
      </c>
      <c r="O22" s="217">
        <f>F22-липень!F22</f>
        <v>227.96000000000095</v>
      </c>
      <c r="P22" s="218">
        <f t="shared" si="6"/>
        <v>-1757.3399999999983</v>
      </c>
      <c r="Q22" s="215">
        <f t="shared" si="9"/>
        <v>11.48239560771677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535.7</v>
      </c>
      <c r="G25" s="212">
        <f t="shared" si="0"/>
        <v>-357.43999999999994</v>
      </c>
      <c r="H25" s="214">
        <f t="shared" si="3"/>
        <v>59.9793985265468</v>
      </c>
      <c r="I25" s="215">
        <f t="shared" si="4"/>
        <v>-464.29999999999995</v>
      </c>
      <c r="J25" s="215">
        <f t="shared" si="5"/>
        <v>53.57000000000001</v>
      </c>
      <c r="K25" s="215">
        <v>3116.95</v>
      </c>
      <c r="L25" s="215">
        <f t="shared" si="1"/>
        <v>-2581.25</v>
      </c>
      <c r="M25" s="257">
        <f t="shared" si="2"/>
        <v>0.17186672869311348</v>
      </c>
      <c r="N25" s="214">
        <f>E25-липень!E25</f>
        <v>200</v>
      </c>
      <c r="O25" s="217">
        <f>F25-липень!F25</f>
        <v>56.900000000000034</v>
      </c>
      <c r="P25" s="218">
        <f t="shared" si="6"/>
        <v>-143.09999999999997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93082</v>
      </c>
      <c r="G26" s="212">
        <f t="shared" si="0"/>
        <v>-10886.919999999998</v>
      </c>
      <c r="H26" s="214">
        <f t="shared" si="3"/>
        <v>89.52867837811532</v>
      </c>
      <c r="I26" s="215">
        <f t="shared" si="4"/>
        <v>-62317.649999999994</v>
      </c>
      <c r="J26" s="215">
        <f t="shared" si="5"/>
        <v>59.89846180477241</v>
      </c>
      <c r="K26" s="216">
        <v>68008.19</v>
      </c>
      <c r="L26" s="216">
        <f t="shared" si="1"/>
        <v>25073.809999999998</v>
      </c>
      <c r="M26" s="256">
        <f t="shared" si="2"/>
        <v>1.368688094772115</v>
      </c>
      <c r="N26" s="214">
        <f>E26-липень!E26</f>
        <v>20765</v>
      </c>
      <c r="O26" s="217">
        <f>F26-липень!F26</f>
        <v>1474.2100000000064</v>
      </c>
      <c r="P26" s="218">
        <f t="shared" si="6"/>
        <v>-19290.789999999994</v>
      </c>
      <c r="Q26" s="215">
        <f>O26/N26*100</f>
        <v>7.099494341439954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66.6</v>
      </c>
      <c r="G30" s="190">
        <f t="shared" si="0"/>
        <v>18.289999999999992</v>
      </c>
      <c r="H30" s="197">
        <f t="shared" si="3"/>
        <v>137.85965638584142</v>
      </c>
      <c r="I30" s="198">
        <f t="shared" si="4"/>
        <v>-10.400000000000006</v>
      </c>
      <c r="J30" s="198">
        <f t="shared" si="5"/>
        <v>86.49350649350649</v>
      </c>
      <c r="K30" s="198">
        <v>48.85</v>
      </c>
      <c r="L30" s="198">
        <f t="shared" si="1"/>
        <v>17.749999999999993</v>
      </c>
      <c r="M30" s="255">
        <f>F30/K30</f>
        <v>1.3633572159672465</v>
      </c>
      <c r="N30" s="197">
        <f>E30-липень!E30</f>
        <v>7.400000000000006</v>
      </c>
      <c r="O30" s="200">
        <f>F30-липень!F30</f>
        <v>0.9799999999999898</v>
      </c>
      <c r="P30" s="201">
        <f t="shared" si="6"/>
        <v>-6.420000000000016</v>
      </c>
      <c r="Q30" s="198">
        <f>O30/N30*100</f>
        <v>13.243243243243095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-147.2</v>
      </c>
      <c r="G31" s="190">
        <f t="shared" si="0"/>
        <v>-147.2</v>
      </c>
      <c r="H31" s="197"/>
      <c r="I31" s="198">
        <f t="shared" si="4"/>
        <v>-147.2</v>
      </c>
      <c r="J31" s="198"/>
      <c r="K31" s="198">
        <v>-614.57</v>
      </c>
      <c r="L31" s="198">
        <f t="shared" si="1"/>
        <v>467.37000000000006</v>
      </c>
      <c r="M31" s="255">
        <f>F31/K31</f>
        <v>0.23951706070911366</v>
      </c>
      <c r="N31" s="197">
        <f>E31-липень!E31</f>
        <v>0</v>
      </c>
      <c r="O31" s="200">
        <f>F31-липень!F31</f>
        <v>-8.469999999999999</v>
      </c>
      <c r="P31" s="201">
        <f t="shared" si="6"/>
        <v>-8.469999999999999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94662.6</v>
      </c>
      <c r="G32" s="202">
        <f t="shared" si="0"/>
        <v>-4153.239999999991</v>
      </c>
      <c r="H32" s="204">
        <f t="shared" si="3"/>
        <v>95.7969896324314</v>
      </c>
      <c r="I32" s="205">
        <f t="shared" si="4"/>
        <v>-23337.399999999994</v>
      </c>
      <c r="J32" s="205">
        <f t="shared" si="5"/>
        <v>80.22254237288135</v>
      </c>
      <c r="K32" s="219">
        <v>67835.01</v>
      </c>
      <c r="L32" s="219">
        <f t="shared" si="1"/>
        <v>26827.59000000001</v>
      </c>
      <c r="M32" s="258">
        <f>F32/L32</f>
        <v>3.528553999818842</v>
      </c>
      <c r="N32" s="197">
        <f>E32-липень!E32</f>
        <v>18673.800000000003</v>
      </c>
      <c r="O32" s="200">
        <f>F32-липень!F32</f>
        <v>6855.529999999999</v>
      </c>
      <c r="P32" s="207">
        <f t="shared" si="6"/>
        <v>-11818.270000000004</v>
      </c>
      <c r="Q32" s="205">
        <f>O32/N32*100</f>
        <v>36.71202433355823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41528.38</v>
      </c>
      <c r="G38" s="191">
        <f>G39+G40+G41+G42+G43+G45+G47+G48+G49+G50+G51+G56+G57+G61</f>
        <v>2757</v>
      </c>
      <c r="H38" s="192">
        <f>F38/E38*100</f>
        <v>107.16716433085777</v>
      </c>
      <c r="I38" s="193">
        <f>F38-D38</f>
        <v>-15307.100000000006</v>
      </c>
      <c r="J38" s="193">
        <f>F38/D38*100</f>
        <v>73.06770348380975</v>
      </c>
      <c r="K38" s="191">
        <v>21607.34</v>
      </c>
      <c r="L38" s="191">
        <f t="shared" si="1"/>
        <v>19921.039999999997</v>
      </c>
      <c r="M38" s="250">
        <f t="shared" si="10"/>
        <v>1.921957075697425</v>
      </c>
      <c r="N38" s="191">
        <f>N39+N40+N41+N42+N43+N45+N47+N48+N49+N50+N51+N56+N57+N61+N44</f>
        <v>13756</v>
      </c>
      <c r="O38" s="191">
        <f>O39+O40+O41+O42+O43+O45+O47+O48+O49+O50+O51+O56+O57+O61+O44</f>
        <v>4742.0999999999985</v>
      </c>
      <c r="P38" s="191">
        <f>P39+P40+P41+P42+P43+P45+P47+P48+P49+P50+P51+P56+P57+P61</f>
        <v>-9006.77</v>
      </c>
      <c r="Q38" s="191">
        <f>O38/N38*100</f>
        <v>34.472957255015984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190</v>
      </c>
      <c r="G43" s="202">
        <f t="shared" si="13"/>
        <v>110</v>
      </c>
      <c r="H43" s="204">
        <f t="shared" si="11"/>
        <v>237.5</v>
      </c>
      <c r="I43" s="205">
        <f t="shared" si="14"/>
        <v>40</v>
      </c>
      <c r="J43" s="205">
        <f t="shared" si="16"/>
        <v>126.66666666666666</v>
      </c>
      <c r="K43" s="205">
        <v>104.06</v>
      </c>
      <c r="L43" s="205">
        <f t="shared" si="1"/>
        <v>85.94</v>
      </c>
      <c r="M43" s="266">
        <f t="shared" si="17"/>
        <v>1.8258696905631366</v>
      </c>
      <c r="N43" s="204">
        <f>E43-липень!E43</f>
        <v>10</v>
      </c>
      <c r="O43" s="208">
        <f>F43-липень!F43</f>
        <v>2.039999999999992</v>
      </c>
      <c r="P43" s="207">
        <f t="shared" si="15"/>
        <v>-7.960000000000008</v>
      </c>
      <c r="Q43" s="205">
        <f t="shared" si="12"/>
        <v>20.39999999999992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34.35</v>
      </c>
      <c r="G44" s="202">
        <f t="shared" si="13"/>
        <v>20.35</v>
      </c>
      <c r="H44" s="204"/>
      <c r="I44" s="205">
        <f t="shared" si="14"/>
        <v>20.35</v>
      </c>
      <c r="J44" s="205"/>
      <c r="K44" s="205">
        <v>3.5</v>
      </c>
      <c r="L44" s="205">
        <f t="shared" si="1"/>
        <v>30.85</v>
      </c>
      <c r="M44" s="266">
        <f t="shared" si="17"/>
        <v>9.814285714285715</v>
      </c>
      <c r="N44" s="204">
        <f>E44-липень!E44</f>
        <v>14</v>
      </c>
      <c r="O44" s="208">
        <f>F44-липень!F44</f>
        <v>6.870000000000001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272.4</v>
      </c>
      <c r="G45" s="202">
        <f t="shared" si="13"/>
        <v>16.399999999999977</v>
      </c>
      <c r="H45" s="204">
        <f t="shared" si="11"/>
        <v>106.40624999999999</v>
      </c>
      <c r="I45" s="205">
        <f t="shared" si="14"/>
        <v>-27.600000000000023</v>
      </c>
      <c r="J45" s="205">
        <f t="shared" si="16"/>
        <v>90.8</v>
      </c>
      <c r="K45" s="205">
        <v>0</v>
      </c>
      <c r="L45" s="205">
        <f t="shared" si="1"/>
        <v>272.4</v>
      </c>
      <c r="M45" s="266"/>
      <c r="N45" s="204">
        <f>E45-липень!E45</f>
        <v>208</v>
      </c>
      <c r="O45" s="208">
        <f>F45-липень!F45</f>
        <v>24.029999999999973</v>
      </c>
      <c r="P45" s="207">
        <f t="shared" si="15"/>
        <v>-183.97000000000003</v>
      </c>
      <c r="Q45" s="205">
        <f t="shared" si="12"/>
        <v>11.552884615384603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6437.7</v>
      </c>
      <c r="G47" s="202">
        <f t="shared" si="13"/>
        <v>298.6799999999994</v>
      </c>
      <c r="H47" s="204">
        <f t="shared" si="11"/>
        <v>104.86527165573658</v>
      </c>
      <c r="I47" s="205">
        <f t="shared" si="14"/>
        <v>-3462.3</v>
      </c>
      <c r="J47" s="205">
        <f t="shared" si="16"/>
        <v>65.02727272727272</v>
      </c>
      <c r="K47" s="205">
        <v>6772.05</v>
      </c>
      <c r="L47" s="205">
        <f t="shared" si="1"/>
        <v>-334.35000000000036</v>
      </c>
      <c r="M47" s="266">
        <f t="shared" si="17"/>
        <v>0.9506279487009103</v>
      </c>
      <c r="N47" s="204">
        <f>E47-липень!E47</f>
        <v>800</v>
      </c>
      <c r="O47" s="208">
        <f>F47-липень!F47</f>
        <v>347.0699999999997</v>
      </c>
      <c r="P47" s="207">
        <f t="shared" si="15"/>
        <v>-452.9300000000003</v>
      </c>
      <c r="Q47" s="205">
        <f t="shared" si="12"/>
        <v>43.383749999999964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131.5</v>
      </c>
      <c r="G48" s="202">
        <f t="shared" si="13"/>
        <v>-518.5</v>
      </c>
      <c r="H48" s="204">
        <f t="shared" si="11"/>
        <v>20.23076923076923</v>
      </c>
      <c r="I48" s="205">
        <f t="shared" si="14"/>
        <v>-518.5</v>
      </c>
      <c r="J48" s="205">
        <f t="shared" si="16"/>
        <v>20.23076923076923</v>
      </c>
      <c r="K48" s="205">
        <v>0</v>
      </c>
      <c r="L48" s="205">
        <f t="shared" si="1"/>
        <v>131.5</v>
      </c>
      <c r="M48" s="266"/>
      <c r="N48" s="204">
        <f>E48-липень!E48</f>
        <v>0</v>
      </c>
      <c r="O48" s="208">
        <f>F48-липень!F48</f>
        <v>14.11</v>
      </c>
      <c r="P48" s="207">
        <f t="shared" si="15"/>
        <v>14.11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8.54</v>
      </c>
      <c r="G49" s="202">
        <f t="shared" si="13"/>
        <v>-19.46</v>
      </c>
      <c r="H49" s="204">
        <f t="shared" si="11"/>
        <v>30.5</v>
      </c>
      <c r="I49" s="205">
        <f t="shared" si="14"/>
        <v>-41.46</v>
      </c>
      <c r="J49" s="205">
        <f t="shared" si="16"/>
        <v>17.08</v>
      </c>
      <c r="K49" s="205">
        <v>0</v>
      </c>
      <c r="L49" s="205">
        <f t="shared" si="1"/>
        <v>8.54</v>
      </c>
      <c r="M49" s="266"/>
      <c r="N49" s="204">
        <f>E49-липень!E49</f>
        <v>4</v>
      </c>
      <c r="O49" s="208">
        <f>F49-липень!F49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3927.2</v>
      </c>
      <c r="G51" s="202">
        <f t="shared" si="13"/>
        <v>-463.9899999999998</v>
      </c>
      <c r="H51" s="204">
        <f t="shared" si="11"/>
        <v>89.43361594465283</v>
      </c>
      <c r="I51" s="205">
        <f t="shared" si="14"/>
        <v>-3072.84</v>
      </c>
      <c r="J51" s="205">
        <f t="shared" si="16"/>
        <v>56.102536556933956</v>
      </c>
      <c r="K51" s="205">
        <v>5221.43</v>
      </c>
      <c r="L51" s="205">
        <f t="shared" si="1"/>
        <v>-1294.2300000000005</v>
      </c>
      <c r="M51" s="266">
        <f t="shared" si="17"/>
        <v>0.7521311211679558</v>
      </c>
      <c r="N51" s="204">
        <f>E51-липень!E51</f>
        <v>519.9999999999995</v>
      </c>
      <c r="O51" s="208">
        <f>F51-липень!F51</f>
        <v>202.40999999999985</v>
      </c>
      <c r="P51" s="207">
        <f t="shared" si="15"/>
        <v>-317.5899999999997</v>
      </c>
      <c r="Q51" s="205">
        <f t="shared" si="12"/>
        <v>38.925000000000004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4416</v>
      </c>
      <c r="G57" s="202">
        <f t="shared" si="13"/>
        <v>848.02</v>
      </c>
      <c r="H57" s="204">
        <f t="shared" si="11"/>
        <v>123.76750990756675</v>
      </c>
      <c r="I57" s="205">
        <f t="shared" si="14"/>
        <v>-734</v>
      </c>
      <c r="J57" s="205">
        <f t="shared" si="16"/>
        <v>85.74757281553399</v>
      </c>
      <c r="K57" s="205">
        <v>3192.65</v>
      </c>
      <c r="L57" s="205">
        <f aca="true" t="shared" si="18" ref="L57:L63">F57-K57</f>
        <v>1223.35</v>
      </c>
      <c r="M57" s="266">
        <f t="shared" si="17"/>
        <v>1.3831769846365871</v>
      </c>
      <c r="N57" s="204">
        <f>E57-липень!E57</f>
        <v>930</v>
      </c>
      <c r="O57" s="208">
        <f>F57-липень!F57</f>
        <v>154.10000000000036</v>
      </c>
      <c r="P57" s="207">
        <f t="shared" si="15"/>
        <v>-775.8999999999996</v>
      </c>
      <c r="Q57" s="205">
        <f t="shared" si="12"/>
        <v>16.56989247311832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819.6</v>
      </c>
      <c r="G59" s="202"/>
      <c r="H59" s="204"/>
      <c r="I59" s="205"/>
      <c r="J59" s="205"/>
      <c r="K59" s="206">
        <v>890.52</v>
      </c>
      <c r="L59" s="205">
        <f t="shared" si="18"/>
        <v>-70.91999999999996</v>
      </c>
      <c r="M59" s="266">
        <f t="shared" si="17"/>
        <v>0.9203611373130306</v>
      </c>
      <c r="N59" s="236"/>
      <c r="O59" s="220">
        <f>F59-липень!F59</f>
        <v>85.76999999999998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608918.1300000001</v>
      </c>
      <c r="G64" s="191">
        <f>F64-E64</f>
        <v>-46377.87999999989</v>
      </c>
      <c r="H64" s="192">
        <f>F64/E64*100</f>
        <v>92.92260607538265</v>
      </c>
      <c r="I64" s="193">
        <f>F64-D64</f>
        <v>-382019.6</v>
      </c>
      <c r="J64" s="193">
        <f>F64/D64*100</f>
        <v>61.44867750670873</v>
      </c>
      <c r="K64" s="193">
        <v>451134.19</v>
      </c>
      <c r="L64" s="193">
        <f>F64-K64</f>
        <v>157783.94000000012</v>
      </c>
      <c r="M64" s="267">
        <f>F64/K64</f>
        <v>1.3497494614628966</v>
      </c>
      <c r="N64" s="191">
        <f>N8+N38+N62+N63</f>
        <v>131335.19999999995</v>
      </c>
      <c r="O64" s="191">
        <f>O8+O38+O62+O63</f>
        <v>28310.350000000017</v>
      </c>
      <c r="P64" s="195">
        <f>O64-N64</f>
        <v>-103024.84999999993</v>
      </c>
      <c r="Q64" s="193">
        <f>O64/N64*100</f>
        <v>21.55579768409385</v>
      </c>
      <c r="R64" s="28">
        <f>O64-34768</f>
        <v>-6457.649999999983</v>
      </c>
      <c r="S64" s="128">
        <f>O64/34768</f>
        <v>0.8142645536125177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9561.64</v>
      </c>
      <c r="G75" s="202">
        <f t="shared" si="19"/>
        <v>7164.789999999999</v>
      </c>
      <c r="H75" s="204">
        <f>F75/E75*100</f>
        <v>398.9252560652523</v>
      </c>
      <c r="I75" s="207">
        <f t="shared" si="20"/>
        <v>3561.6399999999994</v>
      </c>
      <c r="J75" s="207">
        <f>F75/D75*100</f>
        <v>159.36066666666667</v>
      </c>
      <c r="K75" s="207">
        <v>1838.64</v>
      </c>
      <c r="L75" s="207">
        <f t="shared" si="21"/>
        <v>7722.999999999999</v>
      </c>
      <c r="M75" s="254">
        <f>F75/K75</f>
        <v>5.200387242744637</v>
      </c>
      <c r="N75" s="204">
        <f>E75-липень!E75</f>
        <v>302</v>
      </c>
      <c r="O75" s="208">
        <f>F75-липень!F75</f>
        <v>51.94999999999891</v>
      </c>
      <c r="P75" s="207">
        <f t="shared" si="22"/>
        <v>-250.0500000000011</v>
      </c>
      <c r="Q75" s="207">
        <f>O75/N75*100</f>
        <v>17.201986754966526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17854.22</v>
      </c>
      <c r="G77" s="226">
        <f t="shared" si="19"/>
        <v>9372.160000000002</v>
      </c>
      <c r="H77" s="227">
        <f>F77/E77*100</f>
        <v>210.49391303527685</v>
      </c>
      <c r="I77" s="228">
        <f t="shared" si="20"/>
        <v>183.22000000000116</v>
      </c>
      <c r="J77" s="228">
        <f>F77/D77*100</f>
        <v>101.03684002037237</v>
      </c>
      <c r="K77" s="228">
        <v>5991.37</v>
      </c>
      <c r="L77" s="228">
        <f t="shared" si="21"/>
        <v>11862.850000000002</v>
      </c>
      <c r="M77" s="260">
        <f>F77/K77</f>
        <v>2.97998955163844</v>
      </c>
      <c r="N77" s="226">
        <f>N73+N74+N75+N76</f>
        <v>1252.9</v>
      </c>
      <c r="O77" s="230">
        <f>O73+O74+O75+O76</f>
        <v>51.96999999999889</v>
      </c>
      <c r="P77" s="228">
        <f t="shared" si="22"/>
        <v>-1200.9300000000012</v>
      </c>
      <c r="Q77" s="228">
        <f>O77/N77*100</f>
        <v>4.147976694069669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4908.3</v>
      </c>
      <c r="G80" s="202">
        <f t="shared" si="19"/>
        <v>-2715.3</v>
      </c>
      <c r="H80" s="204">
        <f>F80/E80*100</f>
        <v>64.38296867621595</v>
      </c>
      <c r="I80" s="207">
        <f t="shared" si="20"/>
        <v>-4591.7</v>
      </c>
      <c r="J80" s="207">
        <f>F80/D80*100</f>
        <v>51.666315789473686</v>
      </c>
      <c r="K80" s="207">
        <v>0</v>
      </c>
      <c r="L80" s="207">
        <f t="shared" si="21"/>
        <v>4908.3</v>
      </c>
      <c r="M80" s="254"/>
      <c r="N80" s="204">
        <f>E80-липень!E80</f>
        <v>2496.3</v>
      </c>
      <c r="O80" s="208">
        <f>F80-липень!F80</f>
        <v>5.960000000000036</v>
      </c>
      <c r="P80" s="207">
        <f>O80-N80</f>
        <v>-2490.34</v>
      </c>
      <c r="Q80" s="231">
        <f>O80/N80*100</f>
        <v>0.23875335496535013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4914.89</v>
      </c>
      <c r="G82" s="224">
        <f>G78+G81+G79+G80</f>
        <v>-2708.71</v>
      </c>
      <c r="H82" s="227">
        <f>F82/E82*100</f>
        <v>64.46941077706072</v>
      </c>
      <c r="I82" s="228">
        <f t="shared" si="20"/>
        <v>-4586.11</v>
      </c>
      <c r="J82" s="228">
        <f>F82/D82*100</f>
        <v>51.73023892221872</v>
      </c>
      <c r="K82" s="228">
        <v>0.83</v>
      </c>
      <c r="L82" s="228">
        <f t="shared" si="21"/>
        <v>4914.06</v>
      </c>
      <c r="M82" s="268">
        <f>F82/K82</f>
        <v>5921.55421686747</v>
      </c>
      <c r="N82" s="226">
        <f>N78+N81+N79+N80</f>
        <v>2496.3</v>
      </c>
      <c r="O82" s="230">
        <f>O78+O81+O79+O80</f>
        <v>6.420000000000036</v>
      </c>
      <c r="P82" s="226">
        <f>P78+P81+P79+P80</f>
        <v>-2489.88</v>
      </c>
      <c r="Q82" s="228">
        <f>O82/N82*100</f>
        <v>0.25718062732844754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22785.58</v>
      </c>
      <c r="G85" s="233">
        <f>F85-E85</f>
        <v>6659.120000000003</v>
      </c>
      <c r="H85" s="234">
        <f>F85/E85*100</f>
        <v>141.29312942828125</v>
      </c>
      <c r="I85" s="235">
        <f>F85-D85</f>
        <v>-4429.419999999998</v>
      </c>
      <c r="J85" s="235">
        <f>F85/D85*100</f>
        <v>83.72434319309205</v>
      </c>
      <c r="K85" s="235">
        <v>6163.42</v>
      </c>
      <c r="L85" s="235">
        <f>F85-K85</f>
        <v>16622.160000000003</v>
      </c>
      <c r="M85" s="269">
        <f>F85/K85</f>
        <v>3.6969052895957115</v>
      </c>
      <c r="N85" s="232">
        <f>N71+N83+N77+N82</f>
        <v>3749.7000000000003</v>
      </c>
      <c r="O85" s="232">
        <f>O71+O83+O77+O82+O84</f>
        <v>58.38999999999893</v>
      </c>
      <c r="P85" s="235">
        <f t="shared" si="22"/>
        <v>-3691.3100000000013</v>
      </c>
      <c r="Q85" s="235">
        <f>O85/N85*100</f>
        <v>1.5571912419659952</v>
      </c>
      <c r="R85" s="28">
        <f>O85-8104.96</f>
        <v>-8046.5700000000015</v>
      </c>
      <c r="S85" s="101">
        <f>O85/8104.96</f>
        <v>0.00720423049589374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631703.7100000001</v>
      </c>
      <c r="G86" s="233">
        <f>F86-E86</f>
        <v>-39718.75999999989</v>
      </c>
      <c r="H86" s="234">
        <f>F86/E86*100</f>
        <v>94.0843862434333</v>
      </c>
      <c r="I86" s="235">
        <f>F86-D86</f>
        <v>-386449.02</v>
      </c>
      <c r="J86" s="235">
        <f>F86/D86*100</f>
        <v>62.04410118312996</v>
      </c>
      <c r="K86" s="235">
        <f>K64+K85</f>
        <v>457297.61</v>
      </c>
      <c r="L86" s="235">
        <f>F86-K86</f>
        <v>174406.1000000001</v>
      </c>
      <c r="M86" s="269">
        <f>F86/K86</f>
        <v>1.3813842368430487</v>
      </c>
      <c r="N86" s="233">
        <f>N64+N85</f>
        <v>135084.89999999997</v>
      </c>
      <c r="O86" s="233">
        <f>O64+O85</f>
        <v>28368.740000000016</v>
      </c>
      <c r="P86" s="235">
        <f t="shared" si="22"/>
        <v>-106716.15999999995</v>
      </c>
      <c r="Q86" s="235">
        <f>O86/N86*100</f>
        <v>21.000674390698016</v>
      </c>
      <c r="R86" s="28">
        <f>O86-42872.96</f>
        <v>-14504.219999999983</v>
      </c>
      <c r="S86" s="101">
        <f>O86/42872.96</f>
        <v>0.6616930578154626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6868.323333333329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42591</v>
      </c>
      <c r="D90" s="31">
        <v>2115</v>
      </c>
      <c r="G90" s="4" t="s">
        <v>59</v>
      </c>
      <c r="O90" s="438"/>
      <c r="P90" s="438"/>
      <c r="T90" s="186">
        <f t="shared" si="23"/>
        <v>2115</v>
      </c>
    </row>
    <row r="91" spans="3:16" ht="15">
      <c r="C91" s="87">
        <v>42590</v>
      </c>
      <c r="D91" s="31">
        <v>4967.1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42587</v>
      </c>
      <c r="D92" s="31">
        <v>7837.9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0.02341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412.44</v>
      </c>
      <c r="G97" s="73">
        <f>G45+G48+G49</f>
        <v>-521.5600000000001</v>
      </c>
      <c r="H97" s="74"/>
      <c r="I97" s="74"/>
      <c r="N97" s="31">
        <f>N45+N48+N49</f>
        <v>212</v>
      </c>
      <c r="O97" s="246">
        <f>O45+O48+O49</f>
        <v>38.13999999999997</v>
      </c>
      <c r="P97" s="31">
        <f>P45+P48+P49</f>
        <v>-173.86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2016-08-10T07:19:03Z</cp:lastPrinted>
  <dcterms:created xsi:type="dcterms:W3CDTF">2003-07-28T11:27:56Z</dcterms:created>
  <dcterms:modified xsi:type="dcterms:W3CDTF">2016-08-10T07:19:34Z</dcterms:modified>
  <cp:category/>
  <cp:version/>
  <cp:contentType/>
  <cp:contentStatus/>
</cp:coreProperties>
</file>